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028"/>
  <workbookPr/>
  <mc:AlternateContent xmlns:mc="http://schemas.openxmlformats.org/markup-compatibility/2006">
    <mc:Choice Requires="x15">
      <x15ac:absPath xmlns:x15ac="http://schemas.microsoft.com/office/spreadsheetml/2010/11/ac" url="https://kickmaker17.sharepoint.com/account/VALEO - CERGY/KM_OPP00624/Project - EVT2/5_R&amp;D/53_Electronics/533_PWRBoard_analysis/5333_Analysis/"/>
    </mc:Choice>
  </mc:AlternateContent>
  <xr:revisionPtr revIDLastSave="1228" documentId="11_F25DC773A252ABDACC104813F91B79A05ADE58EC" xr6:coauthVersionLast="47" xr6:coauthVersionMax="47" xr10:uidLastSave="{80973F66-4EFB-4903-A965-3FD881ECCEFF}"/>
  <bookViews>
    <workbookView xWindow="-113" yWindow="-113" windowWidth="24267" windowHeight="13148" xr2:uid="{00000000-000D-0000-FFFF-FFFF00000000}"/>
  </bookViews>
  <sheets>
    <sheet name="General" sheetId="4" r:id="rId1"/>
    <sheet name="RCD" sheetId="1" r:id="rId2"/>
    <sheet name="Primary RC" sheetId="3" r:id="rId3"/>
    <sheet name="Secondary RC" sheetId="2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30" i="2" l="1"/>
  <c r="B11" i="3"/>
  <c r="D19" i="1"/>
  <c r="D20" i="1" s="1"/>
  <c r="B19" i="1"/>
  <c r="B22" i="1" s="1"/>
  <c r="D6" i="1"/>
  <c r="D15" i="1" s="1"/>
  <c r="D92" i="1"/>
  <c r="B8" i="3"/>
  <c r="B20" i="1" l="1"/>
  <c r="D22" i="1"/>
  <c r="B10" i="3"/>
  <c r="B33" i="1"/>
  <c r="D33" i="1"/>
  <c r="B91" i="1" l="1"/>
  <c r="O134" i="1"/>
  <c r="G111" i="1"/>
  <c r="O131" i="1"/>
  <c r="G108" i="1"/>
  <c r="B7" i="3"/>
  <c r="B24" i="2"/>
  <c r="B25" i="2" s="1"/>
  <c r="B28" i="2" s="1"/>
  <c r="B29" i="2" s="1"/>
  <c r="D94" i="1"/>
  <c r="B94" i="1"/>
  <c r="B92" i="1"/>
  <c r="B37" i="1"/>
  <c r="B35" i="1"/>
  <c r="B29" i="1"/>
  <c r="D37" i="1"/>
  <c r="D29" i="1"/>
  <c r="B6" i="1"/>
  <c r="B30" i="1" s="1"/>
  <c r="D12" i="1"/>
  <c r="B12" i="1"/>
  <c r="B88" i="1" l="1"/>
  <c r="B97" i="1" s="1"/>
  <c r="B98" i="1" s="1"/>
  <c r="D13" i="1"/>
  <c r="B42" i="1"/>
  <c r="B43" i="1" s="1"/>
  <c r="B15" i="1"/>
  <c r="B45" i="1"/>
  <c r="B39" i="1"/>
  <c r="B40" i="1" s="1"/>
  <c r="D30" i="1"/>
  <c r="B13" i="1"/>
  <c r="B100" i="1" l="1"/>
  <c r="D45" i="1"/>
  <c r="D42" i="1"/>
  <c r="D43" i="1" s="1"/>
  <c r="D88" i="1"/>
  <c r="B47" i="1"/>
  <c r="B48" i="1" s="1"/>
  <c r="D39" i="1"/>
  <c r="D40" i="1" s="1"/>
  <c r="D97" i="1" l="1"/>
  <c r="D98" i="1" s="1"/>
  <c r="D100" i="1"/>
  <c r="D47" i="1"/>
  <c r="D48" i="1" s="1"/>
</calcChain>
</file>

<file path=xl/sharedStrings.xml><?xml version="1.0" encoding="utf-8"?>
<sst xmlns="http://schemas.openxmlformats.org/spreadsheetml/2006/main" count="237" uniqueCount="95">
  <si>
    <t>Transformer inductance</t>
  </si>
  <si>
    <t>Direct measure</t>
  </si>
  <si>
    <t>Secondary shorted</t>
  </si>
  <si>
    <t>Secondary + fb shorted</t>
  </si>
  <si>
    <t>Primary inductance (uH)</t>
  </si>
  <si>
    <t>100Hz</t>
  </si>
  <si>
    <t>Test Frequency</t>
  </si>
  <si>
    <t>120Hz</t>
  </si>
  <si>
    <t>1kHz</t>
  </si>
  <si>
    <t>10kHz</t>
  </si>
  <si>
    <t>100kHz</t>
  </si>
  <si>
    <t>Ringing measured frequency</t>
  </si>
  <si>
    <t>MHz</t>
  </si>
  <si>
    <t>Ω</t>
  </si>
  <si>
    <t>F</t>
  </si>
  <si>
    <t>Source : Flyback converter Snubber design br Dr. Ray Ridley</t>
  </si>
  <si>
    <t>Switching frequency</t>
  </si>
  <si>
    <t>KHz</t>
  </si>
  <si>
    <t>RCD clamp</t>
  </si>
  <si>
    <t>Current at turn off</t>
  </si>
  <si>
    <t>Vx</t>
  </si>
  <si>
    <t>V</t>
  </si>
  <si>
    <t>Vf</t>
  </si>
  <si>
    <t>Vin</t>
  </si>
  <si>
    <t>Leakage inductance at switching frequency</t>
  </si>
  <si>
    <t>Hz</t>
  </si>
  <si>
    <t>H</t>
  </si>
  <si>
    <t>uH</t>
  </si>
  <si>
    <t>Energy stored in leakage inductance</t>
  </si>
  <si>
    <t>J</t>
  </si>
  <si>
    <t>A</t>
  </si>
  <si>
    <t>Energy dissipated by RCD clamp</t>
  </si>
  <si>
    <t>Clamp resistor value</t>
  </si>
  <si>
    <t>PWR only</t>
  </si>
  <si>
    <t>+ MB + HMI</t>
  </si>
  <si>
    <t>Peak voltage</t>
  </si>
  <si>
    <t>Source : Fairchild Application Note AN-4147</t>
  </si>
  <si>
    <t>Vsn</t>
  </si>
  <si>
    <t>Ipeak</t>
  </si>
  <si>
    <t>ts</t>
  </si>
  <si>
    <t>s</t>
  </si>
  <si>
    <t>Psn</t>
  </si>
  <si>
    <t>W</t>
  </si>
  <si>
    <t>Rsn</t>
  </si>
  <si>
    <t>nF</t>
  </si>
  <si>
    <t>Csn</t>
  </si>
  <si>
    <t>Delta Vsn (10% of Vsn)</t>
  </si>
  <si>
    <t>Source : Texas instrument power stage designer</t>
  </si>
  <si>
    <t>Vclamp</t>
  </si>
  <si>
    <t>Vflyback</t>
  </si>
  <si>
    <t>Rsnubber</t>
  </si>
  <si>
    <t>Csnubber</t>
  </si>
  <si>
    <t>Secondary oscillation frequency without C19 (100p)</t>
  </si>
  <si>
    <t>Secondary oscillation frequency with 56pF</t>
  </si>
  <si>
    <t>Diode parasitic capacitance</t>
  </si>
  <si>
    <t>pF</t>
  </si>
  <si>
    <t>Secondary leakage inductance</t>
  </si>
  <si>
    <t>Source : Rohde &amp; Schwarz | Application Note Verification Methods Of Snubber Circuits in Flyback Converters</t>
  </si>
  <si>
    <t>Oscillation frequency measures</t>
  </si>
  <si>
    <t>Rsnb</t>
  </si>
  <si>
    <t>Damping factor</t>
  </si>
  <si>
    <t>Csnb</t>
  </si>
  <si>
    <t>--------&gt;</t>
  </si>
  <si>
    <t>Test capacity</t>
  </si>
  <si>
    <t>Test</t>
  </si>
  <si>
    <t>Ringing frequency</t>
  </si>
  <si>
    <t>Leakage inductance (100KHz)</t>
  </si>
  <si>
    <t>Resistor value</t>
  </si>
  <si>
    <t>Capacitor value</t>
  </si>
  <si>
    <t>93k6</t>
  </si>
  <si>
    <t>Test (no secondary snubber changed, 100p)</t>
  </si>
  <si>
    <t>Test (no RCD, no secondary snubber changed, 100p)</t>
  </si>
  <si>
    <t>VMax</t>
  </si>
  <si>
    <t>% of Vds max</t>
  </si>
  <si>
    <t>Vds max</t>
  </si>
  <si>
    <t>%</t>
  </si>
  <si>
    <t>Vmean</t>
  </si>
  <si>
    <t>Dissipated power</t>
  </si>
  <si>
    <t>Vout</t>
  </si>
  <si>
    <t>Transformer turn ratio</t>
  </si>
  <si>
    <t>Pclamp</t>
  </si>
  <si>
    <t>Theorical nVo</t>
  </si>
  <si>
    <t>Measured nVo</t>
  </si>
  <si>
    <t>With this circuit, instability on output voltage was measured</t>
  </si>
  <si>
    <t>Vripple (~5-10% is acceptable)</t>
  </si>
  <si>
    <t>Input voltage + reflected output voltage (Vin + nVo)</t>
  </si>
  <si>
    <t>P(Rsn)</t>
  </si>
  <si>
    <t>Resulting voltage rise Vx</t>
  </si>
  <si>
    <t>Implemented Clamp resistor value</t>
  </si>
  <si>
    <t>547 nominal, 514 with PRC</t>
  </si>
  <si>
    <t>Theorical resulting peak voltage</t>
  </si>
  <si>
    <t>Psnd</t>
  </si>
  <si>
    <t>Adding primary RC snubber to damp oscillation =&gt; it helps lowering overshoot</t>
  </si>
  <si>
    <t>@ nominal load</t>
  </si>
  <si>
    <t>May goes higher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</si>
</sst>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E+00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2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quotePrefix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1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11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3" Type="http://schemas.openxmlformats.org/officeDocument/2006/relationships/image" Target="../media/image5.jp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jp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25.png"/><Relationship Id="rId7" Type="http://schemas.openxmlformats.org/officeDocument/2006/relationships/image" Target="../media/image29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15902</xdr:colOff>
      <xdr:row>1</xdr:row>
      <xdr:rowOff>66608</xdr:rowOff>
    </xdr:from>
    <xdr:to>
      <xdr:col>13</xdr:col>
      <xdr:colOff>497138</xdr:colOff>
      <xdr:row>14</xdr:row>
      <xdr:rowOff>92411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DDE6121-F41C-42B3-BCAD-D0BF016D5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69071" y="368758"/>
          <a:ext cx="4297862" cy="2506610"/>
        </a:xfrm>
        <a:prstGeom prst="rect">
          <a:avLst/>
        </a:prstGeom>
      </xdr:spPr>
    </xdr:pic>
    <xdr:clientData/>
  </xdr:twoCellAnchor>
  <xdr:twoCellAnchor editAs="oneCell">
    <xdr:from>
      <xdr:col>0</xdr:col>
      <xdr:colOff>1439186</xdr:colOff>
      <xdr:row>10</xdr:row>
      <xdr:rowOff>182879</xdr:rowOff>
    </xdr:from>
    <xdr:to>
      <xdr:col>6</xdr:col>
      <xdr:colOff>710163</xdr:colOff>
      <xdr:row>25</xdr:row>
      <xdr:rowOff>187076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DBD08A-63A1-49A9-9CF4-1F12384F3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39186" y="2202510"/>
          <a:ext cx="7190476" cy="28666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94723</xdr:colOff>
      <xdr:row>1</xdr:row>
      <xdr:rowOff>57601</xdr:rowOff>
    </xdr:from>
    <xdr:to>
      <xdr:col>12</xdr:col>
      <xdr:colOff>249434</xdr:colOff>
      <xdr:row>9</xdr:row>
      <xdr:rowOff>110354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4930CB-9090-4553-8961-7F9D73F23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32560" y="359751"/>
          <a:ext cx="4201924" cy="1722526"/>
        </a:xfrm>
        <a:prstGeom prst="rect">
          <a:avLst/>
        </a:prstGeom>
      </xdr:spPr>
    </xdr:pic>
    <xdr:clientData/>
  </xdr:twoCellAnchor>
  <xdr:twoCellAnchor editAs="oneCell">
    <xdr:from>
      <xdr:col>11</xdr:col>
      <xdr:colOff>391543</xdr:colOff>
      <xdr:row>10</xdr:row>
      <xdr:rowOff>136617</xdr:rowOff>
    </xdr:from>
    <xdr:to>
      <xdr:col>17</xdr:col>
      <xdr:colOff>41984</xdr:colOff>
      <xdr:row>25</xdr:row>
      <xdr:rowOff>229413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A9A09B-E3E3-4D3E-AE8C-BB7691335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40489" y="6799810"/>
          <a:ext cx="3880535" cy="2955265"/>
        </a:xfrm>
        <a:prstGeom prst="rect">
          <a:avLst/>
        </a:prstGeom>
      </xdr:spPr>
    </xdr:pic>
    <xdr:clientData/>
  </xdr:twoCellAnchor>
  <xdr:twoCellAnchor editAs="oneCell">
    <xdr:from>
      <xdr:col>5</xdr:col>
      <xdr:colOff>624947</xdr:colOff>
      <xdr:row>10</xdr:row>
      <xdr:rowOff>143530</xdr:rowOff>
    </xdr:from>
    <xdr:to>
      <xdr:col>10</xdr:col>
      <xdr:colOff>256489</xdr:colOff>
      <xdr:row>25</xdr:row>
      <xdr:rowOff>218709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108F10B-754A-451F-A630-F575AA0DA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523" y="6806723"/>
          <a:ext cx="3845733" cy="2937648"/>
        </a:xfrm>
        <a:prstGeom prst="rect">
          <a:avLst/>
        </a:prstGeom>
      </xdr:spPr>
    </xdr:pic>
    <xdr:clientData/>
  </xdr:twoCellAnchor>
  <xdr:twoCellAnchor editAs="oneCell">
    <xdr:from>
      <xdr:col>5</xdr:col>
      <xdr:colOff>572947</xdr:colOff>
      <xdr:row>31</xdr:row>
      <xdr:rowOff>11359</xdr:rowOff>
    </xdr:from>
    <xdr:to>
      <xdr:col>10</xdr:col>
      <xdr:colOff>234709</xdr:colOff>
      <xdr:row>40</xdr:row>
      <xdr:rowOff>170219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971AD04-A6AB-4147-9D80-0AB684419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11476" y="9666515"/>
          <a:ext cx="3878306" cy="1896785"/>
        </a:xfrm>
        <a:prstGeom prst="rect">
          <a:avLst/>
        </a:prstGeom>
      </xdr:spPr>
    </xdr:pic>
    <xdr:clientData/>
  </xdr:twoCellAnchor>
  <xdr:twoCellAnchor editAs="oneCell">
    <xdr:from>
      <xdr:col>0</xdr:col>
      <xdr:colOff>468781</xdr:colOff>
      <xdr:row>54</xdr:row>
      <xdr:rowOff>110628</xdr:rowOff>
    </xdr:from>
    <xdr:to>
      <xdr:col>5</xdr:col>
      <xdr:colOff>59683</xdr:colOff>
      <xdr:row>84</xdr:row>
      <xdr:rowOff>33308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072D58B-BC56-4518-B1C9-369720110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8781" y="14768685"/>
          <a:ext cx="5544009" cy="5730589"/>
        </a:xfrm>
        <a:prstGeom prst="rect">
          <a:avLst/>
        </a:prstGeom>
      </xdr:spPr>
    </xdr:pic>
    <xdr:clientData/>
  </xdr:twoCellAnchor>
  <xdr:twoCellAnchor editAs="oneCell">
    <xdr:from>
      <xdr:col>5</xdr:col>
      <xdr:colOff>533050</xdr:colOff>
      <xdr:row>86</xdr:row>
      <xdr:rowOff>38490</xdr:rowOff>
    </xdr:from>
    <xdr:to>
      <xdr:col>8</xdr:col>
      <xdr:colOff>602832</xdr:colOff>
      <xdr:row>95</xdr:row>
      <xdr:rowOff>166978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9618F5-04FB-483C-82FD-611FCFD64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86157" y="21942605"/>
          <a:ext cx="2932252" cy="1870860"/>
        </a:xfrm>
        <a:prstGeom prst="rect">
          <a:avLst/>
        </a:prstGeom>
      </xdr:spPr>
    </xdr:pic>
    <xdr:clientData/>
  </xdr:twoCellAnchor>
  <xdr:twoCellAnchor editAs="oneCell">
    <xdr:from>
      <xdr:col>7</xdr:col>
      <xdr:colOff>429370</xdr:colOff>
      <xdr:row>43</xdr:row>
      <xdr:rowOff>7951</xdr:rowOff>
    </xdr:from>
    <xdr:to>
      <xdr:col>10</xdr:col>
      <xdr:colOff>307917</xdr:colOff>
      <xdr:row>46</xdr:row>
      <xdr:rowOff>158521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120B0A2-CAF4-44F6-AAF7-68E8A3A25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69641" y="11648661"/>
          <a:ext cx="1866375" cy="723066"/>
        </a:xfrm>
        <a:prstGeom prst="rect">
          <a:avLst/>
        </a:prstGeom>
      </xdr:spPr>
    </xdr:pic>
    <xdr:clientData/>
  </xdr:twoCellAnchor>
  <xdr:twoCellAnchor editAs="oneCell">
    <xdr:from>
      <xdr:col>0</xdr:col>
      <xdr:colOff>47708</xdr:colOff>
      <xdr:row>102</xdr:row>
      <xdr:rowOff>7949</xdr:rowOff>
    </xdr:from>
    <xdr:to>
      <xdr:col>5</xdr:col>
      <xdr:colOff>60803</xdr:colOff>
      <xdr:row>123</xdr:row>
      <xdr:rowOff>174345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FFD676F-1F41-4EEB-9CD9-ACE2CF061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7708" y="22287504"/>
          <a:ext cx="5955526" cy="41738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33209</xdr:rowOff>
    </xdr:from>
    <xdr:to>
      <xdr:col>4</xdr:col>
      <xdr:colOff>842156</xdr:colOff>
      <xdr:row>150</xdr:row>
      <xdr:rowOff>13273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6687F1-9F00-4060-9AFC-40FE384C3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6936681"/>
          <a:ext cx="5930991" cy="4096032"/>
        </a:xfrm>
        <a:prstGeom prst="rect">
          <a:avLst/>
        </a:prstGeom>
      </xdr:spPr>
    </xdr:pic>
    <xdr:clientData/>
  </xdr:twoCellAnchor>
  <xdr:twoCellAnchor editAs="oneCell">
    <xdr:from>
      <xdr:col>4</xdr:col>
      <xdr:colOff>842838</xdr:colOff>
      <xdr:row>128</xdr:row>
      <xdr:rowOff>33210</xdr:rowOff>
    </xdr:from>
    <xdr:to>
      <xdr:col>12</xdr:col>
      <xdr:colOff>279905</xdr:colOff>
      <xdr:row>150</xdr:row>
      <xdr:rowOff>9357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37ABB19-9053-4D98-9ACF-84CB7FFB8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912964" y="26936682"/>
          <a:ext cx="5944123" cy="4092115"/>
        </a:xfrm>
        <a:prstGeom prst="rect">
          <a:avLst/>
        </a:prstGeom>
      </xdr:spPr>
    </xdr:pic>
    <xdr:clientData/>
  </xdr:twoCellAnchor>
  <xdr:twoCellAnchor editAs="oneCell">
    <xdr:from>
      <xdr:col>0</xdr:col>
      <xdr:colOff>7951</xdr:colOff>
      <xdr:row>152</xdr:row>
      <xdr:rowOff>31805</xdr:rowOff>
    </xdr:from>
    <xdr:to>
      <xdr:col>8</xdr:col>
      <xdr:colOff>312192</xdr:colOff>
      <xdr:row>185</xdr:row>
      <xdr:rowOff>153420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9CF3EAA-B880-4DD5-81DA-B04EB6DAD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951" y="30397836"/>
          <a:ext cx="9114286" cy="6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187</xdr:row>
      <xdr:rowOff>0</xdr:rowOff>
    </xdr:from>
    <xdr:to>
      <xdr:col>8</xdr:col>
      <xdr:colOff>275669</xdr:colOff>
      <xdr:row>220</xdr:row>
      <xdr:rowOff>121615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F86C957-2C19-458D-B422-E467AF7D1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7045127"/>
          <a:ext cx="9085714" cy="6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0</xdr:rowOff>
    </xdr:from>
    <xdr:to>
      <xdr:col>8</xdr:col>
      <xdr:colOff>304241</xdr:colOff>
      <xdr:row>255</xdr:row>
      <xdr:rowOff>121615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E36B6A-0AFC-46E2-B4E4-2F087339A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3724223"/>
          <a:ext cx="9114286" cy="6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261</xdr:row>
      <xdr:rowOff>181745</xdr:rowOff>
    </xdr:from>
    <xdr:to>
      <xdr:col>8</xdr:col>
      <xdr:colOff>275669</xdr:colOff>
      <xdr:row>295</xdr:row>
      <xdr:rowOff>91208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6D30880-0EDF-4407-9E0A-E44C50290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51172324"/>
          <a:ext cx="9101616" cy="647496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261</xdr:row>
      <xdr:rowOff>181745</xdr:rowOff>
    </xdr:from>
    <xdr:to>
      <xdr:col>22</xdr:col>
      <xdr:colOff>219921</xdr:colOff>
      <xdr:row>295</xdr:row>
      <xdr:rowOff>110256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66F8111-DC5E-4F3B-BB1B-A9ADCBAB3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462053" y="51172324"/>
          <a:ext cx="9125381" cy="649401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159025</xdr:colOff>
      <xdr:row>1</xdr:row>
      <xdr:rowOff>161583</xdr:rowOff>
    </xdr:from>
    <xdr:to>
      <xdr:col>7</xdr:col>
      <xdr:colOff>545457</xdr:colOff>
      <xdr:row>13</xdr:row>
      <xdr:rowOff>101009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1242260-12F6-4A14-9561-F544082E9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82462" y="431927"/>
          <a:ext cx="3201193" cy="2229402"/>
        </a:xfrm>
        <a:prstGeom prst="rect">
          <a:avLst/>
        </a:prstGeom>
      </xdr:spPr>
    </xdr:pic>
    <xdr:clientData/>
  </xdr:twoCellAnchor>
  <xdr:twoCellAnchor editAs="oneCell">
    <xdr:from>
      <xdr:col>2</xdr:col>
      <xdr:colOff>151075</xdr:colOff>
      <xdr:row>18</xdr:row>
      <xdr:rowOff>15903</xdr:rowOff>
    </xdr:from>
    <xdr:to>
      <xdr:col>11</xdr:col>
      <xdr:colOff>9112</xdr:colOff>
      <xdr:row>39</xdr:row>
      <xdr:rowOff>95416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8C5C55F-1645-4957-A6F0-26D42EFF4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38407" y="3339548"/>
          <a:ext cx="5853321" cy="40869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1</xdr:rowOff>
    </xdr:from>
    <xdr:to>
      <xdr:col>2</xdr:col>
      <xdr:colOff>0</xdr:colOff>
      <xdr:row>64</xdr:row>
      <xdr:rowOff>38032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1D17C42-643A-4533-8C10-69E69EF9D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903598"/>
          <a:ext cx="5987332" cy="4236320"/>
        </a:xfrm>
        <a:prstGeom prst="rect">
          <a:avLst/>
        </a:prstGeom>
      </xdr:spPr>
    </xdr:pic>
    <xdr:clientData/>
  </xdr:twoCellAnchor>
  <xdr:twoCellAnchor editAs="oneCell">
    <xdr:from>
      <xdr:col>0</xdr:col>
      <xdr:colOff>166977</xdr:colOff>
      <xdr:row>18</xdr:row>
      <xdr:rowOff>15903</xdr:rowOff>
    </xdr:from>
    <xdr:to>
      <xdr:col>2</xdr:col>
      <xdr:colOff>142187</xdr:colOff>
      <xdr:row>39</xdr:row>
      <xdr:rowOff>103720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AA9AA5E-D8D1-44C0-BF19-2E88DE5AF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6977" y="3339548"/>
          <a:ext cx="5962542" cy="40952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1</xdr:rowOff>
    </xdr:from>
    <xdr:to>
      <xdr:col>2</xdr:col>
      <xdr:colOff>15903</xdr:colOff>
      <xdr:row>114</xdr:row>
      <xdr:rowOff>55577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45C3E47-6755-47B8-8AD9-0A472C6C0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445163"/>
          <a:ext cx="6003235" cy="42538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</xdr:col>
      <xdr:colOff>1558456</xdr:colOff>
      <xdr:row>88</xdr:row>
      <xdr:rowOff>176238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734F8E8-FDD5-4C5D-8895-539C101FA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2674379"/>
          <a:ext cx="5979381" cy="418369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23591</xdr:colOff>
      <xdr:row>23</xdr:row>
      <xdr:rowOff>15853</xdr:rowOff>
    </xdr:from>
    <xdr:to>
      <xdr:col>7</xdr:col>
      <xdr:colOff>372047</xdr:colOff>
      <xdr:row>33</xdr:row>
      <xdr:rowOff>138833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595E79-9AA5-4823-AD9A-CACA06480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83478" y="4351043"/>
          <a:ext cx="2256769" cy="2058951"/>
        </a:xfrm>
        <a:prstGeom prst="rect">
          <a:avLst/>
        </a:prstGeom>
      </xdr:spPr>
    </xdr:pic>
    <xdr:clientData/>
  </xdr:twoCellAnchor>
  <xdr:twoCellAnchor editAs="oneCell">
    <xdr:from>
      <xdr:col>0</xdr:col>
      <xdr:colOff>39756</xdr:colOff>
      <xdr:row>4</xdr:row>
      <xdr:rowOff>187498</xdr:rowOff>
    </xdr:from>
    <xdr:to>
      <xdr:col>1</xdr:col>
      <xdr:colOff>402801</xdr:colOff>
      <xdr:row>22</xdr:row>
      <xdr:rowOff>124759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A14129-2E88-4BF0-A1AA-2041D691F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756" y="1030336"/>
          <a:ext cx="4783970" cy="3372225"/>
        </a:xfrm>
        <a:prstGeom prst="rect">
          <a:avLst/>
        </a:prstGeom>
      </xdr:spPr>
    </xdr:pic>
    <xdr:clientData/>
  </xdr:twoCellAnchor>
  <xdr:twoCellAnchor editAs="oneCell">
    <xdr:from>
      <xdr:col>1</xdr:col>
      <xdr:colOff>416588</xdr:colOff>
      <xdr:row>5</xdr:row>
      <xdr:rowOff>7952</xdr:rowOff>
    </xdr:from>
    <xdr:to>
      <xdr:col>7</xdr:col>
      <xdr:colOff>159026</xdr:colOff>
      <xdr:row>22</xdr:row>
      <xdr:rowOff>124495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0411CC5-9819-47A2-83C6-585877D40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37513" y="1041622"/>
          <a:ext cx="4759711" cy="3360675"/>
        </a:xfrm>
        <a:prstGeom prst="rect">
          <a:avLst/>
        </a:prstGeom>
      </xdr:spPr>
    </xdr:pic>
    <xdr:clientData/>
  </xdr:twoCellAnchor>
  <xdr:twoCellAnchor editAs="oneCell">
    <xdr:from>
      <xdr:col>1</xdr:col>
      <xdr:colOff>1383855</xdr:colOff>
      <xdr:row>83</xdr:row>
      <xdr:rowOff>39756</xdr:rowOff>
    </xdr:from>
    <xdr:to>
      <xdr:col>10</xdr:col>
      <xdr:colOff>127221</xdr:colOff>
      <xdr:row>104</xdr:row>
      <xdr:rowOff>24851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34F2051-902A-4CA2-9A8D-42FF91BB3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04780" y="15958267"/>
          <a:ext cx="5668952" cy="3992553"/>
        </a:xfrm>
        <a:prstGeom prst="rect">
          <a:avLst/>
        </a:prstGeom>
      </xdr:spPr>
    </xdr:pic>
    <xdr:clientData/>
  </xdr:twoCellAnchor>
  <xdr:twoCellAnchor editAs="oneCell">
    <xdr:from>
      <xdr:col>1</xdr:col>
      <xdr:colOff>1540483</xdr:colOff>
      <xdr:row>59</xdr:row>
      <xdr:rowOff>15901</xdr:rowOff>
    </xdr:from>
    <xdr:to>
      <xdr:col>10</xdr:col>
      <xdr:colOff>532738</xdr:colOff>
      <xdr:row>80</xdr:row>
      <xdr:rowOff>188654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7F82B3C-DE13-4BBC-B3AB-DB929F8BC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61408" y="11354461"/>
          <a:ext cx="5917841" cy="4180210"/>
        </a:xfrm>
        <a:prstGeom prst="rect">
          <a:avLst/>
        </a:prstGeom>
      </xdr:spPr>
    </xdr:pic>
    <xdr:clientData/>
  </xdr:twoCellAnchor>
  <xdr:twoCellAnchor editAs="oneCell">
    <xdr:from>
      <xdr:col>2</xdr:col>
      <xdr:colOff>23854</xdr:colOff>
      <xdr:row>34</xdr:row>
      <xdr:rowOff>22728</xdr:rowOff>
    </xdr:from>
    <xdr:to>
      <xdr:col>10</xdr:col>
      <xdr:colOff>588610</xdr:colOff>
      <xdr:row>56</xdr:row>
      <xdr:rowOff>15902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8D4A624-FB9F-4C56-92C0-D5115C9E7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11186" y="6590505"/>
          <a:ext cx="5923935" cy="4191463"/>
        </a:xfrm>
        <a:prstGeom prst="rect">
          <a:avLst/>
        </a:prstGeom>
      </xdr:spPr>
    </xdr:pic>
    <xdr:clientData/>
  </xdr:twoCellAnchor>
  <xdr:twoCellAnchor editAs="oneCell">
    <xdr:from>
      <xdr:col>0</xdr:col>
      <xdr:colOff>31805</xdr:colOff>
      <xdr:row>83</xdr:row>
      <xdr:rowOff>47708</xdr:rowOff>
    </xdr:from>
    <xdr:to>
      <xdr:col>1</xdr:col>
      <xdr:colOff>1335819</xdr:colOff>
      <xdr:row>104</xdr:row>
      <xdr:rowOff>53671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0C6F814-A9F0-464E-B59B-EDA44F56F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805" y="15966219"/>
          <a:ext cx="5724939" cy="40134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7951</xdr:rowOff>
    </xdr:from>
    <xdr:to>
      <xdr:col>1</xdr:col>
      <xdr:colOff>1536182</xdr:colOff>
      <xdr:row>80</xdr:row>
      <xdr:rowOff>182880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A0E157D-08BA-4831-9DA2-0A549257D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1346511"/>
          <a:ext cx="5957107" cy="41823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15905</xdr:rowOff>
    </xdr:from>
    <xdr:to>
      <xdr:col>1</xdr:col>
      <xdr:colOff>1552431</xdr:colOff>
      <xdr:row>56</xdr:row>
      <xdr:rowOff>23854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0B61354-BFA0-401D-BE52-750A9F432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583682"/>
          <a:ext cx="5973356" cy="42062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CE9E1-A9D1-474A-814A-A83986F5E05A}">
  <sheetPr>
    <pageSetUpPr fitToPage="1"/>
  </sheetPr>
  <dimension ref="A1:M19"/>
  <sheetViews>
    <sheetView tabSelected="1" workbookViewId="0">
      <selection activeCell="J20" sqref="J20"/>
    </sheetView>
  </sheetViews>
  <sheetFormatPr defaultRowHeight="15.05" x14ac:dyDescent="0.3"/>
  <cols>
    <col min="1" max="1" width="38.44140625" customWidth="1"/>
    <col min="2" max="7" width="14.44140625" customWidth="1"/>
  </cols>
  <sheetData>
    <row r="1" spans="1:13" s="13" customFormat="1" ht="23.8" x14ac:dyDescent="0.3">
      <c r="A1" s="15" t="s">
        <v>15</v>
      </c>
      <c r="B1" s="15"/>
      <c r="C1" s="15"/>
      <c r="D1" s="15"/>
      <c r="E1" s="15"/>
      <c r="F1" s="15"/>
      <c r="G1" s="15"/>
      <c r="H1" s="15"/>
      <c r="I1" s="15"/>
      <c r="J1" s="15"/>
      <c r="K1" s="15"/>
      <c r="L1" s="15"/>
      <c r="M1" s="15"/>
    </row>
    <row r="2" spans="1:13" s="13" customFormat="1" x14ac:dyDescent="0.3">
      <c r="A2" s="16" t="s">
        <v>0</v>
      </c>
      <c r="B2" s="16"/>
      <c r="C2" s="16"/>
      <c r="D2" s="16"/>
      <c r="E2" s="16"/>
      <c r="F2" s="16"/>
    </row>
    <row r="3" spans="1:13" s="13" customFormat="1" x14ac:dyDescent="0.3">
      <c r="B3" s="16" t="s">
        <v>4</v>
      </c>
      <c r="C3" s="16"/>
      <c r="D3" s="16"/>
      <c r="E3" s="16"/>
      <c r="F3" s="16"/>
    </row>
    <row r="4" spans="1:13" s="13" customFormat="1" x14ac:dyDescent="0.3">
      <c r="A4" s="13" t="s">
        <v>6</v>
      </c>
      <c r="B4" s="13" t="s">
        <v>5</v>
      </c>
      <c r="C4" s="13" t="s">
        <v>7</v>
      </c>
      <c r="D4" s="13" t="s">
        <v>8</v>
      </c>
      <c r="E4" s="13" t="s">
        <v>9</v>
      </c>
      <c r="F4" s="13" t="s">
        <v>10</v>
      </c>
    </row>
    <row r="5" spans="1:13" s="13" customFormat="1" x14ac:dyDescent="0.3">
      <c r="A5" s="13" t="s">
        <v>1</v>
      </c>
      <c r="B5" s="13">
        <v>510</v>
      </c>
      <c r="C5" s="13">
        <v>509</v>
      </c>
      <c r="D5" s="13">
        <v>509</v>
      </c>
      <c r="E5" s="13">
        <v>509</v>
      </c>
      <c r="F5" s="13">
        <v>510</v>
      </c>
    </row>
    <row r="6" spans="1:13" s="13" customFormat="1" x14ac:dyDescent="0.3">
      <c r="A6" s="13" t="s">
        <v>2</v>
      </c>
      <c r="B6" s="13">
        <v>490</v>
      </c>
      <c r="C6" s="13">
        <v>492</v>
      </c>
      <c r="D6" s="13">
        <v>162</v>
      </c>
      <c r="E6" s="13">
        <v>16.7</v>
      </c>
      <c r="F6" s="13">
        <v>14.5</v>
      </c>
    </row>
    <row r="7" spans="1:13" s="13" customFormat="1" x14ac:dyDescent="0.3">
      <c r="A7" s="13" t="s">
        <v>3</v>
      </c>
      <c r="B7" s="13">
        <v>489</v>
      </c>
      <c r="C7" s="13">
        <v>480</v>
      </c>
      <c r="D7" s="13">
        <v>96.5</v>
      </c>
      <c r="E7" s="13">
        <v>13.8</v>
      </c>
      <c r="F7" s="13">
        <v>12.6</v>
      </c>
    </row>
    <row r="8" spans="1:13" s="13" customFormat="1" x14ac:dyDescent="0.3"/>
    <row r="9" spans="1:13" s="13" customFormat="1" x14ac:dyDescent="0.3">
      <c r="A9" s="13" t="s">
        <v>11</v>
      </c>
      <c r="B9" s="13">
        <v>4.5</v>
      </c>
      <c r="C9" s="13" t="s">
        <v>12</v>
      </c>
    </row>
    <row r="10" spans="1:13" s="13" customFormat="1" x14ac:dyDescent="0.3">
      <c r="A10" s="13" t="s">
        <v>16</v>
      </c>
      <c r="B10" s="13">
        <v>27</v>
      </c>
      <c r="C10" s="13" t="s">
        <v>17</v>
      </c>
      <c r="D10" s="14" t="s">
        <v>93</v>
      </c>
    </row>
    <row r="11" spans="1:13" s="13" customFormat="1" x14ac:dyDescent="0.3"/>
    <row r="12" spans="1:13" s="13" customFormat="1" x14ac:dyDescent="0.3">
      <c r="A12" s="16"/>
      <c r="B12" s="16"/>
      <c r="C12" s="16"/>
      <c r="D12" s="16"/>
      <c r="E12" s="16"/>
      <c r="F12" s="16"/>
      <c r="G12" s="16"/>
    </row>
    <row r="13" spans="1:13" s="13" customFormat="1" x14ac:dyDescent="0.3">
      <c r="B13" s="14"/>
    </row>
    <row r="14" spans="1:13" s="13" customFormat="1" x14ac:dyDescent="0.3">
      <c r="B14" s="4"/>
      <c r="C14" s="4"/>
      <c r="D14" s="4"/>
      <c r="E14" s="4"/>
      <c r="F14" s="4"/>
      <c r="G14" s="5"/>
    </row>
    <row r="15" spans="1:13" s="13" customFormat="1" x14ac:dyDescent="0.3">
      <c r="B15" s="4"/>
      <c r="C15" s="4"/>
      <c r="D15" s="4"/>
      <c r="E15" s="4"/>
      <c r="F15" s="4"/>
      <c r="G15" s="5"/>
    </row>
    <row r="16" spans="1:13" s="13" customFormat="1" x14ac:dyDescent="0.3"/>
    <row r="17" spans="2:2" s="13" customFormat="1" x14ac:dyDescent="0.3">
      <c r="B17" s="14"/>
    </row>
    <row r="18" spans="2:2" s="13" customFormat="1" x14ac:dyDescent="0.3"/>
    <row r="19" spans="2:2" s="13" customFormat="1" x14ac:dyDescent="0.3"/>
  </sheetData>
  <mergeCells count="4">
    <mergeCell ref="A1:M1"/>
    <mergeCell ref="A2:F2"/>
    <mergeCell ref="B3:F3"/>
    <mergeCell ref="A12:G12"/>
  </mergeCells>
  <pageMargins left="0.7" right="0.7" top="0.75" bottom="0.75" header="0.3" footer="0.3"/>
  <pageSetup scale="48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P262"/>
  <sheetViews>
    <sheetView topLeftCell="A118" zoomScale="85" zoomScaleNormal="85" workbookViewId="0">
      <selection activeCell="A127" sqref="A127"/>
    </sheetView>
  </sheetViews>
  <sheetFormatPr defaultRowHeight="15.05" x14ac:dyDescent="0.3"/>
  <cols>
    <col min="1" max="1" width="37.21875" style="1" customWidth="1"/>
    <col min="2" max="2" width="10" style="1" customWidth="1"/>
    <col min="3" max="3" width="11.5546875" style="1" bestFit="1" customWidth="1"/>
    <col min="4" max="4" width="12.33203125" style="1" bestFit="1" customWidth="1"/>
    <col min="5" max="5" width="12" style="1" bestFit="1" customWidth="1"/>
    <col min="6" max="6" width="22.21875" style="1" customWidth="1"/>
    <col min="7" max="9" width="8.88671875" style="1"/>
    <col min="10" max="10" width="10" style="1" bestFit="1" customWidth="1"/>
    <col min="11" max="11" width="11" style="1" bestFit="1" customWidth="1"/>
    <col min="12" max="13" width="8.88671875" style="1"/>
    <col min="14" max="14" width="14.6640625" style="1" customWidth="1"/>
    <col min="15" max="16384" width="8.88671875" style="1"/>
  </cols>
  <sheetData>
    <row r="1" spans="1:13" ht="23.8" x14ac:dyDescent="0.3">
      <c r="A1" s="15" t="s">
        <v>15</v>
      </c>
      <c r="B1" s="15"/>
      <c r="C1" s="15"/>
      <c r="D1" s="15"/>
      <c r="E1" s="15"/>
      <c r="F1" s="15"/>
      <c r="G1" s="15"/>
      <c r="H1" s="15"/>
      <c r="I1" s="15"/>
      <c r="J1" s="15"/>
      <c r="K1" s="15"/>
      <c r="L1" s="15"/>
      <c r="M1" s="15"/>
    </row>
    <row r="2" spans="1:13" ht="26.3" x14ac:dyDescent="0.3">
      <c r="A2" s="17" t="s">
        <v>18</v>
      </c>
      <c r="B2" s="17"/>
      <c r="C2" s="17"/>
      <c r="D2" s="17"/>
      <c r="E2" s="17"/>
      <c r="F2" s="17"/>
      <c r="G2" s="17"/>
    </row>
    <row r="3" spans="1:13" x14ac:dyDescent="0.3">
      <c r="B3" s="16" t="s">
        <v>33</v>
      </c>
      <c r="C3" s="16"/>
      <c r="D3" s="19" t="s">
        <v>34</v>
      </c>
      <c r="E3" s="16"/>
    </row>
    <row r="4" spans="1:13" x14ac:dyDescent="0.3">
      <c r="A4" s="1" t="s">
        <v>19</v>
      </c>
      <c r="B4" s="1">
        <v>1.1200000000000001</v>
      </c>
      <c r="C4" s="1" t="s">
        <v>30</v>
      </c>
      <c r="D4" s="1">
        <v>1.3</v>
      </c>
      <c r="E4" s="1" t="s">
        <v>30</v>
      </c>
      <c r="F4" s="1" t="s">
        <v>94</v>
      </c>
    </row>
    <row r="5" spans="1:13" x14ac:dyDescent="0.3">
      <c r="A5" s="1" t="s">
        <v>35</v>
      </c>
      <c r="B5" s="1">
        <v>495</v>
      </c>
      <c r="C5" s="1" t="s">
        <v>21</v>
      </c>
      <c r="D5" s="1">
        <v>514</v>
      </c>
      <c r="E5" s="1" t="s">
        <v>21</v>
      </c>
      <c r="F5" s="1" t="s">
        <v>89</v>
      </c>
    </row>
    <row r="6" spans="1:13" x14ac:dyDescent="0.3">
      <c r="A6" s="1" t="s">
        <v>20</v>
      </c>
      <c r="B6" s="1">
        <f>B5-B8-B7</f>
        <v>130</v>
      </c>
      <c r="C6" s="1" t="s">
        <v>21</v>
      </c>
      <c r="D6" s="1">
        <f>D5-D8-D7</f>
        <v>134</v>
      </c>
      <c r="E6" s="1" t="s">
        <v>21</v>
      </c>
    </row>
    <row r="7" spans="1:13" x14ac:dyDescent="0.3">
      <c r="A7" s="1" t="s">
        <v>22</v>
      </c>
      <c r="B7" s="1">
        <v>45</v>
      </c>
      <c r="C7" s="1" t="s">
        <v>21</v>
      </c>
      <c r="D7" s="1">
        <v>60</v>
      </c>
      <c r="E7" s="1" t="s">
        <v>21</v>
      </c>
    </row>
    <row r="8" spans="1:13" x14ac:dyDescent="0.3">
      <c r="A8" s="1" t="s">
        <v>23</v>
      </c>
      <c r="B8" s="1">
        <v>320</v>
      </c>
      <c r="C8" s="1" t="s">
        <v>21</v>
      </c>
      <c r="D8" s="1">
        <v>320</v>
      </c>
      <c r="E8" s="1" t="s">
        <v>21</v>
      </c>
    </row>
    <row r="9" spans="1:13" x14ac:dyDescent="0.3">
      <c r="A9" s="1" t="s">
        <v>16</v>
      </c>
      <c r="B9" s="1">
        <v>8000</v>
      </c>
      <c r="C9" s="1" t="s">
        <v>25</v>
      </c>
      <c r="D9" s="1">
        <v>27000</v>
      </c>
      <c r="E9" s="1" t="s">
        <v>25</v>
      </c>
    </row>
    <row r="10" spans="1:13" x14ac:dyDescent="0.3">
      <c r="A10" s="1" t="s">
        <v>24</v>
      </c>
      <c r="B10" s="1">
        <v>14</v>
      </c>
      <c r="C10" s="1" t="s">
        <v>27</v>
      </c>
      <c r="D10" s="1">
        <v>13</v>
      </c>
      <c r="E10" s="1" t="s">
        <v>27</v>
      </c>
    </row>
    <row r="12" spans="1:13" x14ac:dyDescent="0.3">
      <c r="A12" s="1" t="s">
        <v>28</v>
      </c>
      <c r="B12" s="10">
        <f>0.5*B10*10^(-6)*B9*B4*B4</f>
        <v>7.0246400000000014E-2</v>
      </c>
      <c r="C12" s="10" t="s">
        <v>29</v>
      </c>
      <c r="D12" s="10">
        <f>0.5*D10*10^(-6)*D9*D4*D4</f>
        <v>0.296595</v>
      </c>
      <c r="E12" s="1" t="s">
        <v>29</v>
      </c>
    </row>
    <row r="13" spans="1:13" x14ac:dyDescent="0.3">
      <c r="A13" s="1" t="s">
        <v>31</v>
      </c>
      <c r="B13" s="10">
        <f>B12*(1+(B7/B6))</f>
        <v>9.4562461538461567E-2</v>
      </c>
      <c r="C13" s="10" t="s">
        <v>42</v>
      </c>
      <c r="D13" s="10">
        <f>D12*(1+(D7/D6))</f>
        <v>0.42939873134328355</v>
      </c>
      <c r="E13" s="1" t="s">
        <v>42</v>
      </c>
    </row>
    <row r="15" spans="1:13" x14ac:dyDescent="0.3">
      <c r="A15" s="1" t="s">
        <v>32</v>
      </c>
      <c r="B15" s="4">
        <f>(2*B6*(B7+B6))/(B10*10^(-6)*B4^2*B9)</f>
        <v>323860.01275510201</v>
      </c>
      <c r="C15" s="5" t="s">
        <v>13</v>
      </c>
      <c r="D15" s="4">
        <f>(2*D6*(D7+D6))/(D10*10^(-6)*D4^2*D9)</f>
        <v>87648.139719145634</v>
      </c>
      <c r="E15" s="5" t="s">
        <v>13</v>
      </c>
    </row>
    <row r="16" spans="1:13" s="11" customFormat="1" x14ac:dyDescent="0.3">
      <c r="B16" s="4"/>
      <c r="C16" s="5"/>
      <c r="D16" s="4"/>
      <c r="E16" s="5"/>
    </row>
    <row r="17" spans="1:13" x14ac:dyDescent="0.3">
      <c r="A17" s="11" t="s">
        <v>88</v>
      </c>
      <c r="B17" s="4">
        <v>28000</v>
      </c>
      <c r="C17" s="5" t="s">
        <v>13</v>
      </c>
      <c r="D17" s="4">
        <v>28000</v>
      </c>
      <c r="E17" s="5" t="s">
        <v>13</v>
      </c>
    </row>
    <row r="19" spans="1:13" x14ac:dyDescent="0.3">
      <c r="A19" s="1" t="s">
        <v>87</v>
      </c>
      <c r="B19" s="4">
        <f>0.5*SQRT(B7^2+2*(B10*10^(-6)*B4*B4*B17)*B9)-B7</f>
        <v>4.7307671366529505</v>
      </c>
      <c r="C19" s="1" t="s">
        <v>21</v>
      </c>
      <c r="D19" s="4">
        <f>0.5*SQRT(D7^2+2*D10*10^(-6)*D4^2*D17*D9)-D7</f>
        <v>35.940919320173293</v>
      </c>
      <c r="E19" s="1" t="s">
        <v>21</v>
      </c>
    </row>
    <row r="20" spans="1:13" x14ac:dyDescent="0.3">
      <c r="A20" s="1" t="s">
        <v>77</v>
      </c>
      <c r="B20" s="10">
        <f>(B19+B7)^2/B17</f>
        <v>8.832675714285719E-2</v>
      </c>
      <c r="C20" s="1" t="s">
        <v>42</v>
      </c>
      <c r="D20" s="10">
        <f>(D19+D7)^2/D17</f>
        <v>0.32873785714285719</v>
      </c>
      <c r="E20" s="1" t="s">
        <v>42</v>
      </c>
    </row>
    <row r="22" spans="1:13" x14ac:dyDescent="0.3">
      <c r="A22" s="1" t="s">
        <v>90</v>
      </c>
      <c r="B22" s="4">
        <f>B8+B7+B19</f>
        <v>369.73076713665296</v>
      </c>
      <c r="C22" s="11" t="s">
        <v>21</v>
      </c>
      <c r="D22" s="4">
        <f>D8+D7+D19</f>
        <v>415.94091932017329</v>
      </c>
      <c r="E22" s="1" t="s">
        <v>21</v>
      </c>
    </row>
    <row r="26" spans="1:13" ht="23.8" x14ac:dyDescent="0.3">
      <c r="F26" s="12"/>
      <c r="G26" s="12"/>
      <c r="H26" s="12"/>
      <c r="I26" s="12"/>
      <c r="J26" s="12"/>
      <c r="K26" s="12"/>
      <c r="L26" s="12"/>
      <c r="M26" s="12"/>
    </row>
    <row r="27" spans="1:13" ht="23.8" x14ac:dyDescent="0.3">
      <c r="A27" s="15" t="s">
        <v>36</v>
      </c>
      <c r="B27" s="15"/>
      <c r="C27" s="15"/>
      <c r="D27" s="15"/>
      <c r="E27" s="15"/>
      <c r="F27" s="15"/>
      <c r="G27" s="15"/>
    </row>
    <row r="28" spans="1:13" x14ac:dyDescent="0.3">
      <c r="B28" s="16" t="s">
        <v>33</v>
      </c>
      <c r="C28" s="16"/>
      <c r="D28" s="19" t="s">
        <v>34</v>
      </c>
      <c r="E28" s="16"/>
    </row>
    <row r="29" spans="1:13" x14ac:dyDescent="0.3">
      <c r="A29" s="1" t="s">
        <v>23</v>
      </c>
      <c r="B29" s="1">
        <f>B8</f>
        <v>320</v>
      </c>
      <c r="C29" s="1" t="s">
        <v>21</v>
      </c>
      <c r="D29" s="1">
        <f>D8</f>
        <v>320</v>
      </c>
      <c r="E29" s="1" t="s">
        <v>21</v>
      </c>
    </row>
    <row r="30" spans="1:13" x14ac:dyDescent="0.3">
      <c r="A30" s="1" t="s">
        <v>37</v>
      </c>
      <c r="B30" s="1">
        <f>B6+B7</f>
        <v>175</v>
      </c>
      <c r="C30" s="1" t="s">
        <v>21</v>
      </c>
      <c r="D30" s="1">
        <f>D6+D7</f>
        <v>194</v>
      </c>
      <c r="E30" s="1" t="s">
        <v>21</v>
      </c>
    </row>
    <row r="31" spans="1:13" x14ac:dyDescent="0.3">
      <c r="A31" s="1" t="s">
        <v>78</v>
      </c>
      <c r="B31" s="1">
        <v>13</v>
      </c>
      <c r="C31" s="1" t="s">
        <v>21</v>
      </c>
      <c r="D31" s="1">
        <v>13</v>
      </c>
      <c r="E31" s="1" t="s">
        <v>21</v>
      </c>
    </row>
    <row r="32" spans="1:13" x14ac:dyDescent="0.3">
      <c r="A32" s="1" t="s">
        <v>79</v>
      </c>
      <c r="B32" s="16">
        <v>5</v>
      </c>
      <c r="C32" s="16"/>
      <c r="D32" s="16"/>
      <c r="E32" s="16"/>
    </row>
    <row r="33" spans="1:5" x14ac:dyDescent="0.3">
      <c r="A33" s="1" t="s">
        <v>81</v>
      </c>
      <c r="B33" s="1">
        <f>B32*B31</f>
        <v>65</v>
      </c>
      <c r="C33" s="1" t="s">
        <v>21</v>
      </c>
      <c r="D33" s="1">
        <f>B32*D31</f>
        <v>65</v>
      </c>
      <c r="E33" s="1" t="s">
        <v>21</v>
      </c>
    </row>
    <row r="34" spans="1:5" x14ac:dyDescent="0.3">
      <c r="A34" s="1" t="s">
        <v>82</v>
      </c>
      <c r="B34" s="1">
        <v>45</v>
      </c>
      <c r="C34" s="1" t="s">
        <v>21</v>
      </c>
      <c r="D34" s="1">
        <v>50</v>
      </c>
      <c r="E34" s="1" t="s">
        <v>21</v>
      </c>
    </row>
    <row r="35" spans="1:5" x14ac:dyDescent="0.3">
      <c r="A35" s="1" t="s">
        <v>38</v>
      </c>
      <c r="B35" s="1">
        <f>B4</f>
        <v>1.1200000000000001</v>
      </c>
      <c r="C35" s="1" t="s">
        <v>30</v>
      </c>
      <c r="D35" s="1">
        <v>1.23</v>
      </c>
      <c r="E35" s="1" t="s">
        <v>30</v>
      </c>
    </row>
    <row r="36" spans="1:5" x14ac:dyDescent="0.3">
      <c r="A36" s="1" t="s">
        <v>24</v>
      </c>
      <c r="B36" s="1">
        <v>13</v>
      </c>
      <c r="C36" s="1" t="s">
        <v>27</v>
      </c>
      <c r="D36" s="1">
        <v>13</v>
      </c>
      <c r="E36" s="1" t="s">
        <v>27</v>
      </c>
    </row>
    <row r="37" spans="1:5" x14ac:dyDescent="0.3">
      <c r="A37" s="1" t="s">
        <v>16</v>
      </c>
      <c r="B37" s="1">
        <f>B9</f>
        <v>8000</v>
      </c>
      <c r="C37" s="1" t="s">
        <v>25</v>
      </c>
      <c r="D37" s="1">
        <f>D9</f>
        <v>27000</v>
      </c>
      <c r="E37" s="1" t="s">
        <v>25</v>
      </c>
    </row>
    <row r="39" spans="1:5" x14ac:dyDescent="0.3">
      <c r="A39" s="1" t="s">
        <v>39</v>
      </c>
      <c r="B39" s="1">
        <f>(B36*10^(-6)*B35)/(B30-B33)</f>
        <v>1.3236363636363636E-7</v>
      </c>
      <c r="C39" s="1" t="s">
        <v>40</v>
      </c>
      <c r="D39" s="1">
        <f>(D36*10^(-6)*D35)/(D30-D33)</f>
        <v>1.2395348837209299E-7</v>
      </c>
      <c r="E39" s="1" t="s">
        <v>40</v>
      </c>
    </row>
    <row r="40" spans="1:5" x14ac:dyDescent="0.3">
      <c r="A40" s="1" t="s">
        <v>41</v>
      </c>
      <c r="B40" s="10">
        <f>B30*B35*B39*B37/2</f>
        <v>0.10377309090909093</v>
      </c>
      <c r="C40" s="1" t="s">
        <v>42</v>
      </c>
      <c r="D40" s="10">
        <f>D30*D35*D39*D37/2</f>
        <v>0.39930004883720921</v>
      </c>
      <c r="E40" s="1" t="s">
        <v>42</v>
      </c>
    </row>
    <row r="42" spans="1:5" s="11" customFormat="1" x14ac:dyDescent="0.3">
      <c r="A42" s="1" t="s">
        <v>43</v>
      </c>
      <c r="B42" s="4">
        <f>(B30*B30)/(0.5*B36*10^(-6)*B35*B35*(B30*B37)/(B30-B33))</f>
        <v>295115.04120879114</v>
      </c>
      <c r="C42" s="5" t="s">
        <v>13</v>
      </c>
      <c r="D42" s="4">
        <f>(D30*D30)/(0.5*D36*10^(-6)*D35*D35*(D30*D37)/(D30-D33))</f>
        <v>94254.934627728609</v>
      </c>
      <c r="E42" s="5" t="s">
        <v>13</v>
      </c>
    </row>
    <row r="43" spans="1:5" x14ac:dyDescent="0.3">
      <c r="A43" s="11" t="s">
        <v>86</v>
      </c>
      <c r="B43" s="10">
        <f>B30*B30/B42</f>
        <v>0.10377309090909094</v>
      </c>
      <c r="C43" s="5" t="s">
        <v>42</v>
      </c>
      <c r="D43" s="10">
        <f>D30*D30/D42</f>
        <v>0.39930004883720926</v>
      </c>
      <c r="E43" s="5" t="s">
        <v>42</v>
      </c>
    </row>
    <row r="45" spans="1:5" x14ac:dyDescent="0.3">
      <c r="A45" s="1" t="s">
        <v>46</v>
      </c>
      <c r="B45" s="1">
        <f>0.1*B30</f>
        <v>17.5</v>
      </c>
      <c r="C45" s="1" t="s">
        <v>21</v>
      </c>
      <c r="D45" s="1">
        <f>0.1*D30</f>
        <v>19.400000000000002</v>
      </c>
      <c r="E45" s="1" t="s">
        <v>21</v>
      </c>
    </row>
    <row r="47" spans="1:5" x14ac:dyDescent="0.3">
      <c r="A47" s="1" t="s">
        <v>45</v>
      </c>
      <c r="B47" s="1">
        <f>B30/(B45*B42*B37)</f>
        <v>4.235636363636365E-9</v>
      </c>
      <c r="C47" s="1" t="s">
        <v>14</v>
      </c>
      <c r="D47" s="1">
        <f>D30/(D45*D42*D37)</f>
        <v>3.9294533684967624E-9</v>
      </c>
      <c r="E47" s="1" t="s">
        <v>14</v>
      </c>
    </row>
    <row r="48" spans="1:5" x14ac:dyDescent="0.3">
      <c r="A48" s="1" t="s">
        <v>45</v>
      </c>
      <c r="B48" s="10">
        <f>B47*10^(9)</f>
        <v>4.235636363636365</v>
      </c>
      <c r="C48" s="1" t="s">
        <v>44</v>
      </c>
      <c r="D48" s="10">
        <f>D47*10^(9)</f>
        <v>3.9294533684967625</v>
      </c>
      <c r="E48" s="1" t="s">
        <v>44</v>
      </c>
    </row>
    <row r="52" spans="1:13" ht="23.8" x14ac:dyDescent="0.3">
      <c r="F52" s="12"/>
      <c r="G52" s="12"/>
      <c r="H52" s="12"/>
      <c r="I52" s="12"/>
      <c r="J52" s="12"/>
      <c r="K52" s="12"/>
      <c r="L52" s="12"/>
      <c r="M52" s="12"/>
    </row>
    <row r="53" spans="1:13" ht="23.8" x14ac:dyDescent="0.3">
      <c r="A53" s="15" t="s">
        <v>47</v>
      </c>
      <c r="B53" s="15"/>
      <c r="C53" s="15"/>
      <c r="D53" s="15"/>
      <c r="E53" s="15"/>
      <c r="F53" s="15"/>
      <c r="G53" s="15"/>
    </row>
    <row r="54" spans="1:13" x14ac:dyDescent="0.3">
      <c r="A54" s="16" t="s">
        <v>83</v>
      </c>
      <c r="B54" s="16"/>
      <c r="C54" s="16"/>
      <c r="D54" s="16"/>
      <c r="E54" s="16"/>
    </row>
    <row r="85" spans="1:13" x14ac:dyDescent="0.3">
      <c r="F85" s="11"/>
      <c r="G85" s="11"/>
      <c r="H85" s="11"/>
      <c r="I85" s="11"/>
      <c r="J85" s="11"/>
      <c r="K85" s="11"/>
      <c r="L85" s="11"/>
      <c r="M85" s="11"/>
    </row>
    <row r="86" spans="1:13" ht="52" customHeight="1" x14ac:dyDescent="0.3">
      <c r="A86" s="18" t="s">
        <v>57</v>
      </c>
      <c r="B86" s="18"/>
      <c r="C86" s="18"/>
      <c r="D86" s="18"/>
      <c r="E86" s="18"/>
      <c r="F86" s="18"/>
      <c r="G86" s="18"/>
    </row>
    <row r="87" spans="1:13" x14ac:dyDescent="0.3">
      <c r="B87" s="16" t="s">
        <v>33</v>
      </c>
      <c r="C87" s="16"/>
      <c r="D87" s="19" t="s">
        <v>34</v>
      </c>
      <c r="E87" s="16"/>
    </row>
    <row r="88" spans="1:13" x14ac:dyDescent="0.3">
      <c r="A88" s="1" t="s">
        <v>48</v>
      </c>
      <c r="B88" s="1">
        <f>B30</f>
        <v>175</v>
      </c>
      <c r="C88" s="1" t="s">
        <v>21</v>
      </c>
      <c r="D88" s="1">
        <f>D30</f>
        <v>194</v>
      </c>
      <c r="E88" s="1" t="s">
        <v>21</v>
      </c>
    </row>
    <row r="89" spans="1:13" x14ac:dyDescent="0.3">
      <c r="A89" s="1" t="s">
        <v>78</v>
      </c>
      <c r="B89" s="1">
        <v>13</v>
      </c>
      <c r="C89" s="1" t="s">
        <v>21</v>
      </c>
      <c r="D89" s="1">
        <v>13</v>
      </c>
      <c r="E89" s="1" t="s">
        <v>21</v>
      </c>
    </row>
    <row r="90" spans="1:13" x14ac:dyDescent="0.3">
      <c r="A90" s="1" t="s">
        <v>79</v>
      </c>
      <c r="B90" s="16">
        <v>5</v>
      </c>
      <c r="C90" s="16"/>
      <c r="D90" s="16"/>
      <c r="E90" s="16"/>
    </row>
    <row r="91" spans="1:13" x14ac:dyDescent="0.3">
      <c r="A91" s="1" t="s">
        <v>49</v>
      </c>
      <c r="B91" s="1">
        <f>B90*B89</f>
        <v>65</v>
      </c>
      <c r="C91" s="1" t="s">
        <v>21</v>
      </c>
      <c r="D91" s="1">
        <v>65</v>
      </c>
      <c r="E91" s="1" t="s">
        <v>21</v>
      </c>
    </row>
    <row r="92" spans="1:13" x14ac:dyDescent="0.3">
      <c r="A92" s="1" t="s">
        <v>38</v>
      </c>
      <c r="B92" s="1">
        <f>B4</f>
        <v>1.1200000000000001</v>
      </c>
      <c r="C92" s="1" t="s">
        <v>30</v>
      </c>
      <c r="D92" s="1">
        <f>D4</f>
        <v>1.3</v>
      </c>
      <c r="E92" s="1" t="s">
        <v>30</v>
      </c>
    </row>
    <row r="93" spans="1:13" x14ac:dyDescent="0.3">
      <c r="A93" s="1" t="s">
        <v>24</v>
      </c>
      <c r="B93" s="1">
        <v>13</v>
      </c>
      <c r="C93" s="1" t="s">
        <v>27</v>
      </c>
      <c r="D93" s="1">
        <v>13</v>
      </c>
      <c r="E93" s="1" t="s">
        <v>27</v>
      </c>
    </row>
    <row r="94" spans="1:13" x14ac:dyDescent="0.3">
      <c r="A94" s="1" t="s">
        <v>16</v>
      </c>
      <c r="B94" s="1">
        <f>B9</f>
        <v>8000</v>
      </c>
      <c r="C94" s="1" t="s">
        <v>25</v>
      </c>
      <c r="D94" s="1">
        <f>D9</f>
        <v>27000</v>
      </c>
      <c r="E94" s="1" t="s">
        <v>25</v>
      </c>
    </row>
    <row r="95" spans="1:13" x14ac:dyDescent="0.3">
      <c r="A95" s="1" t="s">
        <v>84</v>
      </c>
      <c r="B95" s="1">
        <v>35</v>
      </c>
      <c r="C95" s="1" t="s">
        <v>21</v>
      </c>
      <c r="D95" s="1">
        <v>10</v>
      </c>
      <c r="E95" s="1" t="s">
        <v>21</v>
      </c>
    </row>
    <row r="97" spans="1:8" x14ac:dyDescent="0.3">
      <c r="A97" s="1" t="s">
        <v>50</v>
      </c>
      <c r="B97" s="4">
        <f>(2*B88*(B88-B91))/(B93*10^(-6)*B94*B92*B92)</f>
        <v>295115.0412087912</v>
      </c>
      <c r="C97" s="5" t="s">
        <v>13</v>
      </c>
      <c r="D97" s="4">
        <f>(2*D88*(D88-D91))/(D93*10^(-6)*D94*D92*D92)</f>
        <v>84377.68674455065</v>
      </c>
      <c r="E97" s="5" t="s">
        <v>13</v>
      </c>
    </row>
    <row r="98" spans="1:8" x14ac:dyDescent="0.3">
      <c r="A98" s="1" t="s">
        <v>51</v>
      </c>
      <c r="B98" s="1">
        <f>(B88)/(B94*B97*B95)</f>
        <v>2.1178181818181821E-9</v>
      </c>
      <c r="C98" s="1" t="s">
        <v>14</v>
      </c>
      <c r="D98" s="1">
        <f>(D88)/(D94*D97*D95)</f>
        <v>8.5155038759689927E-9</v>
      </c>
      <c r="E98" s="1" t="s">
        <v>14</v>
      </c>
    </row>
    <row r="100" spans="1:8" x14ac:dyDescent="0.3">
      <c r="A100" s="1" t="s">
        <v>80</v>
      </c>
      <c r="B100" s="10">
        <f>(B88*B93*10^(-6)*B92*B92*B94)/(2*(B88-B91))</f>
        <v>0.10377309090909094</v>
      </c>
      <c r="C100" s="1" t="s">
        <v>42</v>
      </c>
      <c r="D100" s="10">
        <f>(D88*D93*10^(-6)*D92*D92*D94)/(2*(D88-D91))</f>
        <v>0.44604209302325581</v>
      </c>
      <c r="E100" s="1" t="s">
        <v>42</v>
      </c>
    </row>
    <row r="102" spans="1:8" x14ac:dyDescent="0.3">
      <c r="A102" s="16" t="s">
        <v>70</v>
      </c>
      <c r="B102" s="16"/>
      <c r="C102" s="16"/>
      <c r="D102" s="16"/>
      <c r="E102" s="16"/>
      <c r="F102" s="1" t="s">
        <v>74</v>
      </c>
      <c r="G102" s="1">
        <v>600</v>
      </c>
      <c r="H102" s="1" t="s">
        <v>21</v>
      </c>
    </row>
    <row r="107" spans="1:8" x14ac:dyDescent="0.3">
      <c r="F107" s="1" t="s">
        <v>72</v>
      </c>
      <c r="G107" s="1">
        <v>547</v>
      </c>
      <c r="H107" s="1" t="s">
        <v>21</v>
      </c>
    </row>
    <row r="108" spans="1:8" x14ac:dyDescent="0.3">
      <c r="F108" s="1" t="s">
        <v>73</v>
      </c>
      <c r="G108" s="3">
        <f>G107*100/$G$102</f>
        <v>91.166666666666671</v>
      </c>
      <c r="H108" s="1" t="s">
        <v>75</v>
      </c>
    </row>
    <row r="110" spans="1:8" x14ac:dyDescent="0.3">
      <c r="F110" s="1" t="s">
        <v>76</v>
      </c>
      <c r="G110" s="1">
        <v>526</v>
      </c>
      <c r="H110" s="1" t="s">
        <v>21</v>
      </c>
    </row>
    <row r="111" spans="1:8" x14ac:dyDescent="0.3">
      <c r="F111" s="1" t="s">
        <v>73</v>
      </c>
      <c r="G111" s="3">
        <f>G110*100/$G$102</f>
        <v>87.666666666666671</v>
      </c>
      <c r="H111" s="1" t="s">
        <v>75</v>
      </c>
    </row>
    <row r="124" spans="1:4" s="13" customFormat="1" x14ac:dyDescent="0.3"/>
    <row r="125" spans="1:4" s="13" customFormat="1" x14ac:dyDescent="0.3"/>
    <row r="126" spans="1:4" s="13" customFormat="1" x14ac:dyDescent="0.3"/>
    <row r="127" spans="1:4" x14ac:dyDescent="0.3">
      <c r="A127" s="1" t="s">
        <v>50</v>
      </c>
      <c r="B127" s="1" t="s">
        <v>69</v>
      </c>
      <c r="C127" s="5" t="s">
        <v>13</v>
      </c>
    </row>
    <row r="128" spans="1:4" x14ac:dyDescent="0.3">
      <c r="A128" s="1" t="s">
        <v>51</v>
      </c>
      <c r="B128" s="1">
        <v>3.9</v>
      </c>
      <c r="C128" s="1" t="s">
        <v>44</v>
      </c>
      <c r="D128" s="3"/>
    </row>
    <row r="130" spans="14:16" x14ac:dyDescent="0.3">
      <c r="N130" s="1" t="s">
        <v>72</v>
      </c>
      <c r="O130" s="1">
        <v>512</v>
      </c>
      <c r="P130" s="1" t="s">
        <v>21</v>
      </c>
    </row>
    <row r="131" spans="14:16" x14ac:dyDescent="0.3">
      <c r="N131" s="1" t="s">
        <v>73</v>
      </c>
      <c r="O131" s="3">
        <f>O130*100/$G$102</f>
        <v>85.333333333333329</v>
      </c>
      <c r="P131" s="1" t="s">
        <v>75</v>
      </c>
    </row>
    <row r="133" spans="14:16" x14ac:dyDescent="0.3">
      <c r="N133" s="1" t="s">
        <v>76</v>
      </c>
      <c r="O133" s="1">
        <v>487</v>
      </c>
      <c r="P133" s="1" t="s">
        <v>21</v>
      </c>
    </row>
    <row r="134" spans="14:16" x14ac:dyDescent="0.3">
      <c r="N134" s="1" t="s">
        <v>73</v>
      </c>
      <c r="O134" s="3">
        <f>O133*100/$G$102</f>
        <v>81.166666666666671</v>
      </c>
      <c r="P134" s="1" t="s">
        <v>75</v>
      </c>
    </row>
    <row r="254" s="13" customFormat="1" x14ac:dyDescent="0.3"/>
    <row r="255" s="13" customFormat="1" x14ac:dyDescent="0.3"/>
    <row r="256" s="13" customFormat="1" x14ac:dyDescent="0.3"/>
    <row r="257" spans="1:9" s="13" customFormat="1" x14ac:dyDescent="0.3"/>
    <row r="262" spans="1:9" x14ac:dyDescent="0.3">
      <c r="A262" s="16" t="s">
        <v>92</v>
      </c>
      <c r="B262" s="16"/>
      <c r="C262" s="16"/>
      <c r="D262" s="16"/>
      <c r="E262" s="16"/>
      <c r="F262" s="16"/>
      <c r="G262" s="16"/>
      <c r="H262" s="16"/>
      <c r="I262" s="16"/>
    </row>
  </sheetData>
  <mergeCells count="16">
    <mergeCell ref="A262:I262"/>
    <mergeCell ref="A2:G2"/>
    <mergeCell ref="A1:M1"/>
    <mergeCell ref="A53:G53"/>
    <mergeCell ref="A86:G86"/>
    <mergeCell ref="B3:C3"/>
    <mergeCell ref="D3:E3"/>
    <mergeCell ref="B90:E90"/>
    <mergeCell ref="B32:E32"/>
    <mergeCell ref="B87:C87"/>
    <mergeCell ref="D87:E87"/>
    <mergeCell ref="A102:E102"/>
    <mergeCell ref="B28:C28"/>
    <mergeCell ref="D28:E28"/>
    <mergeCell ref="A27:G27"/>
    <mergeCell ref="A54:E54"/>
  </mergeCells>
  <pageMargins left="0.7" right="0.7" top="0.75" bottom="0.75" header="0.3" footer="0.3"/>
  <pageSetup paperSize="9" fitToHeight="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D0F40B-4262-448B-B739-9205A3D855E6}">
  <sheetPr>
    <pageSetUpPr fitToPage="1"/>
  </sheetPr>
  <dimension ref="A1:J92"/>
  <sheetViews>
    <sheetView zoomScale="115" zoomScaleNormal="115" workbookViewId="0">
      <selection activeCell="A13" sqref="A13"/>
    </sheetView>
  </sheetViews>
  <sheetFormatPr defaultRowHeight="15.05" x14ac:dyDescent="0.3"/>
  <cols>
    <col min="1" max="1" width="61.77734375" style="1" customWidth="1"/>
    <col min="2" max="2" width="21.88671875" style="1" bestFit="1" customWidth="1"/>
    <col min="3" max="3" width="8.88671875" style="1"/>
    <col min="4" max="4" width="12.6640625" style="1" bestFit="1" customWidth="1"/>
    <col min="5" max="16384" width="8.88671875" style="1"/>
  </cols>
  <sheetData>
    <row r="1" spans="1:10" ht="21.3" x14ac:dyDescent="0.3">
      <c r="A1" s="20" t="s">
        <v>15</v>
      </c>
      <c r="B1" s="20"/>
      <c r="C1" s="20"/>
      <c r="D1" s="20"/>
      <c r="E1" s="20"/>
      <c r="F1" s="20"/>
      <c r="G1" s="20"/>
      <c r="H1" s="20"/>
      <c r="I1" s="20"/>
      <c r="J1" s="20"/>
    </row>
    <row r="2" spans="1:10" x14ac:dyDescent="0.3">
      <c r="A2" s="21" t="s">
        <v>58</v>
      </c>
      <c r="B2" s="21"/>
      <c r="C2" s="21"/>
    </row>
    <row r="3" spans="1:10" x14ac:dyDescent="0.3">
      <c r="A3" s="1" t="s">
        <v>65</v>
      </c>
      <c r="B3" s="1">
        <v>5</v>
      </c>
      <c r="C3" s="1" t="s">
        <v>12</v>
      </c>
    </row>
    <row r="4" spans="1:10" x14ac:dyDescent="0.3">
      <c r="A4" s="1" t="s">
        <v>66</v>
      </c>
      <c r="B4" s="1">
        <v>12.6</v>
      </c>
      <c r="C4" s="1" t="s">
        <v>27</v>
      </c>
    </row>
    <row r="5" spans="1:10" s="9" customFormat="1" x14ac:dyDescent="0.3">
      <c r="A5" s="9" t="s">
        <v>16</v>
      </c>
      <c r="B5" s="9">
        <v>27000</v>
      </c>
      <c r="C5" s="9" t="s">
        <v>25</v>
      </c>
    </row>
    <row r="7" spans="1:10" x14ac:dyDescent="0.3">
      <c r="A7" s="1" t="s">
        <v>67</v>
      </c>
      <c r="B7" s="3">
        <f>2*PI()*B3*10^6*B4*10^(-6)</f>
        <v>395.8406743523139</v>
      </c>
      <c r="C7" s="5" t="s">
        <v>13</v>
      </c>
    </row>
    <row r="8" spans="1:10" x14ac:dyDescent="0.3">
      <c r="A8" s="1" t="s">
        <v>68</v>
      </c>
      <c r="B8" s="6">
        <f>1/(2*PI()*B3*10^6*B7)</f>
        <v>8.0413637811379184E-11</v>
      </c>
      <c r="C8" s="1" t="s">
        <v>14</v>
      </c>
    </row>
    <row r="10" spans="1:10" x14ac:dyDescent="0.3">
      <c r="A10" s="1" t="s">
        <v>85</v>
      </c>
      <c r="B10" s="1">
        <f>320+5*13</f>
        <v>385</v>
      </c>
      <c r="C10" s="1" t="s">
        <v>21</v>
      </c>
    </row>
    <row r="11" spans="1:10" x14ac:dyDescent="0.3">
      <c r="A11" s="1" t="s">
        <v>77</v>
      </c>
      <c r="B11" s="10">
        <f>B5*B8*B10*B10</f>
        <v>0.32182140954397531</v>
      </c>
      <c r="C11" s="1" t="s">
        <v>42</v>
      </c>
    </row>
    <row r="13" spans="1:10" x14ac:dyDescent="0.3">
      <c r="B13" s="3"/>
    </row>
    <row r="18" spans="1:5" x14ac:dyDescent="0.3">
      <c r="A18" s="16" t="s">
        <v>71</v>
      </c>
      <c r="B18" s="16"/>
      <c r="C18" s="16"/>
      <c r="D18" s="16"/>
      <c r="E18" s="16"/>
    </row>
    <row r="25" spans="1:5" x14ac:dyDescent="0.3">
      <c r="B25" s="6"/>
      <c r="D25" s="2"/>
    </row>
    <row r="26" spans="1:5" x14ac:dyDescent="0.3">
      <c r="B26" s="7"/>
    </row>
    <row r="29" spans="1:5" x14ac:dyDescent="0.3">
      <c r="B29" s="4"/>
      <c r="C29" s="5"/>
    </row>
    <row r="33" spans="1:3" x14ac:dyDescent="0.3">
      <c r="A33" s="16"/>
      <c r="B33" s="16"/>
      <c r="C33" s="16"/>
    </row>
    <row r="34" spans="1:3" x14ac:dyDescent="0.3">
      <c r="B34" s="4"/>
      <c r="C34" s="5"/>
    </row>
    <row r="36" spans="1:3" x14ac:dyDescent="0.3">
      <c r="A36" s="8"/>
      <c r="B36" s="8"/>
      <c r="C36" s="8"/>
    </row>
    <row r="37" spans="1:3" x14ac:dyDescent="0.3">
      <c r="B37" s="4"/>
      <c r="C37" s="5"/>
    </row>
    <row r="41" spans="1:3" x14ac:dyDescent="0.3">
      <c r="A41" s="1" t="s">
        <v>50</v>
      </c>
      <c r="B41" s="1">
        <v>385</v>
      </c>
      <c r="C41" s="5" t="s">
        <v>13</v>
      </c>
    </row>
    <row r="42" spans="1:3" x14ac:dyDescent="0.3">
      <c r="A42" s="1" t="s">
        <v>51</v>
      </c>
      <c r="B42" s="1">
        <v>85</v>
      </c>
      <c r="C42" s="1" t="s">
        <v>55</v>
      </c>
    </row>
    <row r="55" spans="2:3" x14ac:dyDescent="0.3">
      <c r="B55" s="4"/>
      <c r="C55" s="5"/>
    </row>
    <row r="66" spans="1:3" x14ac:dyDescent="0.3">
      <c r="A66" s="1" t="s">
        <v>50</v>
      </c>
      <c r="B66" s="1">
        <v>430</v>
      </c>
      <c r="C66" s="5" t="s">
        <v>13</v>
      </c>
    </row>
    <row r="67" spans="1:3" x14ac:dyDescent="0.3">
      <c r="A67" s="1" t="s">
        <v>51</v>
      </c>
      <c r="B67" s="1">
        <v>69</v>
      </c>
      <c r="C67" s="1" t="s">
        <v>55</v>
      </c>
    </row>
    <row r="80" spans="1:3" x14ac:dyDescent="0.3">
      <c r="B80" s="4"/>
      <c r="C80" s="5"/>
    </row>
    <row r="91" spans="1:3" x14ac:dyDescent="0.3">
      <c r="A91" s="1" t="s">
        <v>50</v>
      </c>
      <c r="B91" s="1">
        <v>432</v>
      </c>
      <c r="C91" s="5" t="s">
        <v>13</v>
      </c>
    </row>
    <row r="92" spans="1:3" x14ac:dyDescent="0.3">
      <c r="A92" s="1" t="s">
        <v>51</v>
      </c>
      <c r="B92" s="1">
        <v>96</v>
      </c>
      <c r="C92" s="1" t="s">
        <v>55</v>
      </c>
    </row>
  </sheetData>
  <mergeCells count="4">
    <mergeCell ref="A1:J1"/>
    <mergeCell ref="A2:C2"/>
    <mergeCell ref="A33:C33"/>
    <mergeCell ref="A18:E18"/>
  </mergeCells>
  <pageMargins left="0.7" right="0.7" top="0.75" bottom="0.75" header="0.3" footer="0.3"/>
  <pageSetup scale="51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BB970F-AC18-4B2E-866B-34DFEE118EDC}">
  <sheetPr>
    <pageSetUpPr fitToPage="1"/>
  </sheetPr>
  <dimension ref="A1:L83"/>
  <sheetViews>
    <sheetView zoomScale="115" zoomScaleNormal="115" workbookViewId="0">
      <selection activeCell="B34" sqref="B34"/>
    </sheetView>
  </sheetViews>
  <sheetFormatPr defaultRowHeight="15.05" x14ac:dyDescent="0.3"/>
  <cols>
    <col min="1" max="1" width="61.77734375" style="1" customWidth="1"/>
    <col min="2" max="2" width="21.88671875" style="1" bestFit="1" customWidth="1"/>
    <col min="3" max="3" width="8.88671875" style="1"/>
    <col min="4" max="4" width="12.6640625" style="1" bestFit="1" customWidth="1"/>
    <col min="5" max="10" width="8.88671875" style="1"/>
    <col min="11" max="11" width="12" style="1" bestFit="1" customWidth="1"/>
    <col min="12" max="16384" width="8.88671875" style="1"/>
  </cols>
  <sheetData>
    <row r="1" spans="1:12" ht="21.3" x14ac:dyDescent="0.3">
      <c r="A1" s="20" t="s">
        <v>57</v>
      </c>
      <c r="B1" s="20"/>
      <c r="C1" s="20"/>
      <c r="D1" s="20"/>
      <c r="E1" s="20"/>
      <c r="F1" s="20"/>
      <c r="G1" s="20"/>
      <c r="H1" s="20"/>
      <c r="I1" s="20"/>
      <c r="J1" s="20"/>
    </row>
    <row r="2" spans="1:12" x14ac:dyDescent="0.3">
      <c r="A2" s="21" t="s">
        <v>58</v>
      </c>
      <c r="B2" s="21"/>
      <c r="C2" s="21"/>
    </row>
    <row r="3" spans="1:12" x14ac:dyDescent="0.3">
      <c r="A3" s="1" t="s">
        <v>52</v>
      </c>
      <c r="B3" s="1">
        <v>22</v>
      </c>
      <c r="C3" s="1" t="s">
        <v>12</v>
      </c>
    </row>
    <row r="4" spans="1:12" x14ac:dyDescent="0.3">
      <c r="A4" s="1" t="s">
        <v>63</v>
      </c>
      <c r="B4" s="1">
        <v>100</v>
      </c>
      <c r="C4" s="1" t="s">
        <v>55</v>
      </c>
    </row>
    <row r="5" spans="1:12" x14ac:dyDescent="0.3">
      <c r="A5" s="1" t="s">
        <v>53</v>
      </c>
      <c r="B5" s="1">
        <v>17</v>
      </c>
      <c r="C5" s="1" t="s">
        <v>12</v>
      </c>
    </row>
    <row r="10" spans="1:12" x14ac:dyDescent="0.3">
      <c r="L10" s="4"/>
    </row>
    <row r="24" spans="1:4" x14ac:dyDescent="0.3">
      <c r="A24" s="1" t="s">
        <v>54</v>
      </c>
      <c r="B24" s="6">
        <f>(B4*10^(-12))/(((B3/B5)^2)-1)</f>
        <v>1.4820512820512818E-10</v>
      </c>
      <c r="C24" s="1" t="s">
        <v>14</v>
      </c>
      <c r="D24" s="2" t="s">
        <v>62</v>
      </c>
    </row>
    <row r="25" spans="1:4" x14ac:dyDescent="0.3">
      <c r="A25" s="1" t="s">
        <v>56</v>
      </c>
      <c r="B25" s="7">
        <f>1/((2*PI()*B3*10^6)^2*B24)</f>
        <v>3.5312760606279631E-7</v>
      </c>
      <c r="C25" s="1" t="s">
        <v>26</v>
      </c>
    </row>
    <row r="27" spans="1:4" x14ac:dyDescent="0.3">
      <c r="A27" s="1" t="s">
        <v>60</v>
      </c>
      <c r="B27" s="1">
        <v>1</v>
      </c>
    </row>
    <row r="28" spans="1:4" x14ac:dyDescent="0.3">
      <c r="A28" s="1" t="s">
        <v>59</v>
      </c>
      <c r="B28" s="4">
        <f>(1/(2*B27))*SQRT(B25/(B24))</f>
        <v>24.406428045705884</v>
      </c>
      <c r="C28" s="5" t="s">
        <v>13</v>
      </c>
    </row>
    <row r="29" spans="1:4" x14ac:dyDescent="0.3">
      <c r="A29" s="1" t="s">
        <v>61</v>
      </c>
      <c r="B29" s="1">
        <f>1/(2*PI()*B28*B3*10^6)</f>
        <v>2.9641025641025631E-10</v>
      </c>
      <c r="C29" s="1" t="s">
        <v>14</v>
      </c>
    </row>
    <row r="30" spans="1:4" x14ac:dyDescent="0.3">
      <c r="A30" s="1" t="s">
        <v>91</v>
      </c>
      <c r="B30" s="1">
        <f>100^2*B29*27000</f>
        <v>8.0030769230769197E-2</v>
      </c>
      <c r="C30" s="1" t="s">
        <v>42</v>
      </c>
    </row>
    <row r="32" spans="1:4" x14ac:dyDescent="0.3">
      <c r="A32" s="16" t="s">
        <v>64</v>
      </c>
      <c r="B32" s="16"/>
      <c r="C32" s="16"/>
    </row>
    <row r="33" spans="1:3" x14ac:dyDescent="0.3">
      <c r="A33" s="1" t="s">
        <v>59</v>
      </c>
      <c r="B33" s="4">
        <v>24</v>
      </c>
      <c r="C33" s="5" t="s">
        <v>13</v>
      </c>
    </row>
    <row r="34" spans="1:3" x14ac:dyDescent="0.3">
      <c r="A34" s="1" t="s">
        <v>61</v>
      </c>
      <c r="B34" s="1">
        <v>286</v>
      </c>
      <c r="C34" s="1" t="s">
        <v>55</v>
      </c>
    </row>
    <row r="39" spans="1:3" x14ac:dyDescent="0.3">
      <c r="A39" s="8"/>
      <c r="C39" s="8"/>
    </row>
    <row r="40" spans="1:3" x14ac:dyDescent="0.3">
      <c r="C40" s="5"/>
    </row>
    <row r="43" spans="1:3" x14ac:dyDescent="0.3">
      <c r="B43" s="8"/>
    </row>
    <row r="44" spans="1:3" x14ac:dyDescent="0.3">
      <c r="B44" s="4"/>
    </row>
    <row r="58" spans="1:3" x14ac:dyDescent="0.3">
      <c r="A58" s="1" t="s">
        <v>59</v>
      </c>
      <c r="B58" s="4">
        <v>51</v>
      </c>
      <c r="C58" s="5" t="s">
        <v>13</v>
      </c>
    </row>
    <row r="59" spans="1:3" x14ac:dyDescent="0.3">
      <c r="A59" s="1" t="s">
        <v>61</v>
      </c>
      <c r="B59" s="1">
        <v>147</v>
      </c>
      <c r="C59" s="1" t="s">
        <v>55</v>
      </c>
    </row>
    <row r="82" spans="1:3" x14ac:dyDescent="0.3">
      <c r="A82" s="1" t="s">
        <v>59</v>
      </c>
      <c r="B82" s="4">
        <v>16</v>
      </c>
      <c r="C82" s="5" t="s">
        <v>13</v>
      </c>
    </row>
    <row r="83" spans="1:3" x14ac:dyDescent="0.3">
      <c r="A83" s="1" t="s">
        <v>61</v>
      </c>
      <c r="B83" s="1">
        <v>387</v>
      </c>
      <c r="C83" s="1" t="s">
        <v>55</v>
      </c>
    </row>
  </sheetData>
  <mergeCells count="3">
    <mergeCell ref="A2:C2"/>
    <mergeCell ref="A1:J1"/>
    <mergeCell ref="A32:C32"/>
  </mergeCells>
  <pageMargins left="0.25" right="0.25" top="0.75" bottom="0.75" header="0.3" footer="0.3"/>
  <pageSetup scale="44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DELETE_x0020_Item_x0020__x002d__x0020_WF xmlns="0eb3cfd4-8d07-4601-9f54-1a6edba174b6">
      <Url xsi:nil="true"/>
      <Description xsi:nil="true"/>
    </DELETE_x0020_Item_x0020__x002d__x0020_WF>
    <DELETE_x0020_Folder_x0020__x002d__x0020_WF xmlns="0eb3cfd4-8d07-4601-9f54-1a6edba174b6">
      <Url xsi:nil="true"/>
      <Description xsi:nil="true"/>
    </DELETE_x0020_Folder_x0020__x002d__x0020_WF>
    <_ip_UnifiedCompliancePolicyProperties xmlns="http://schemas.microsoft.com/sharepoint/v3" xsi:nil="true"/>
    <_Flow_SignoffStatus xmlns="0eb3cfd4-8d07-4601-9f54-1a6edba174b6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4C0B01DD94E074081958781EA1B9AAB" ma:contentTypeVersion="18" ma:contentTypeDescription="Create a new document." ma:contentTypeScope="" ma:versionID="4e03d01ed4fdb0604bf6dacc49b7d899">
  <xsd:schema xmlns:xsd="http://www.w3.org/2001/XMLSchema" xmlns:xs="http://www.w3.org/2001/XMLSchema" xmlns:p="http://schemas.microsoft.com/office/2006/metadata/properties" xmlns:ns1="http://schemas.microsoft.com/sharepoint/v3" xmlns:ns2="b55ae7bc-d3b4-40a2-9868-9292ea016db8" xmlns:ns3="0eb3cfd4-8d07-4601-9f54-1a6edba174b6" targetNamespace="http://schemas.microsoft.com/office/2006/metadata/properties" ma:root="true" ma:fieldsID="1811866584718d62e0c27294123f470f" ns1:_="" ns2:_="" ns3:_="">
    <xsd:import namespace="http://schemas.microsoft.com/sharepoint/v3"/>
    <xsd:import namespace="b55ae7bc-d3b4-40a2-9868-9292ea016db8"/>
    <xsd:import namespace="0eb3cfd4-8d07-4601-9f54-1a6edba174b6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DateTaken" minOccurs="0"/>
                <xsd:element ref="ns3:MediaServiceAutoTags" minOccurs="0"/>
                <xsd:element ref="ns3:MediaServiceOCR" minOccurs="0"/>
                <xsd:element ref="ns3:MediaServiceLocation" minOccurs="0"/>
                <xsd:element ref="ns3:DELETE_x0020_Item_x0020__x002d__x0020_WF" minOccurs="0"/>
                <xsd:element ref="ns3:DELETE_x0020_Folder_x0020__x002d__x0020_WF" minOccurs="0"/>
                <xsd:element ref="ns3:MediaServiceEventHashCode" minOccurs="0"/>
                <xsd:element ref="ns3:MediaServiceGenerationTime" minOccurs="0"/>
                <xsd:element ref="ns1:_ip_UnifiedCompliancePolicyProperties" minOccurs="0"/>
                <xsd:element ref="ns1:_ip_UnifiedCompliancePolicyUIAction" minOccurs="0"/>
                <xsd:element ref="ns3:MediaServiceAutoKeyPoints" minOccurs="0"/>
                <xsd:element ref="ns3:MediaServiceKeyPoints" minOccurs="0"/>
                <xsd:element ref="ns3:_Flow_SignoffStatus" minOccurs="0"/>
                <xsd:element ref="ns3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20" nillable="true" ma:displayName="Unified Compliance Policy Properties" ma:hidden="true" ma:internalName="_ip_UnifiedCompliancePolicyProperties">
      <xsd:simpleType>
        <xsd:restriction base="dms:Note"/>
      </xsd:simpleType>
    </xsd:element>
    <xsd:element name="_ip_UnifiedCompliancePolicyUIAction" ma:index="21" nillable="true" ma:displayName="Unified Compliance Policy UI Action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55ae7bc-d3b4-40a2-9868-9292ea016db8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eb3cfd4-8d07-4601-9f54-1a6edba174b6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MediaServiceAutoTags" ma:internalName="MediaServiceAutoTags" ma:readOnly="true">
      <xsd:simpleType>
        <xsd:restriction base="dms:Text"/>
      </xsd:simpleType>
    </xsd:element>
    <xsd:element name="MediaServiceOCR" ma:index="14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15" nillable="true" ma:displayName="MediaServiceLocation" ma:internalName="MediaServiceLocation" ma:readOnly="true">
      <xsd:simpleType>
        <xsd:restriction base="dms:Text"/>
      </xsd:simpleType>
    </xsd:element>
    <xsd:element name="DELETE_x0020_Item_x0020__x002d__x0020_WF" ma:index="16" nillable="true" ma:displayName="DELETE Item - WF" ma:internalName="DELETE_x0020_Item_x0020__x002d__x0020_WF">
      <xsd:complexType>
        <xsd:complexContent>
          <xsd:extension base="dms:URL">
            <xsd:sequence>
              <xsd:element name="Url" type="dms:ValidUrl" minOccurs="0" nillable="true"/>
              <xsd:element name="Description" type="xsd:string" nillable="true"/>
            </xsd:sequence>
          </xsd:extension>
        </xsd:complexContent>
      </xsd:complexType>
    </xsd:element>
    <xsd:element name="DELETE_x0020_Folder_x0020__x002d__x0020_WF" ma:index="17" nillable="true" ma:displayName="DELETE Folder - WF" ma:internalName="DELETE_x0020_Folder_x0020__x002d__x0020_WF">
      <xsd:complexType>
        <xsd:complexContent>
          <xsd:extension base="dms:URL">
            <xsd:sequence>
              <xsd:element name="Url" type="dms:ValidUrl" minOccurs="0" nillable="true"/>
              <xsd:element name="Description" type="xsd:string" nillable="true"/>
            </xsd:sequence>
          </xsd:extension>
        </xsd:complexContent>
      </xsd:complex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22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3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_Flow_SignoffStatus" ma:index="24" nillable="true" ma:displayName="État de validation" ma:internalName="_x00c9_tat_x0020_de_x0020_validation">
      <xsd:simpleType>
        <xsd:restriction base="dms:Text"/>
      </xsd:simpleType>
    </xsd:element>
    <xsd:element name="MediaLengthInSeconds" ma:index="25" nillable="true" ma:displayName="Length (seconds)" ma:internalName="MediaLengthInSeconds" ma:readOnly="true">
      <xsd:simpleType>
        <xsd:restriction base="dms:Unknow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F0BEEF4B-3CBC-410E-AD26-34BB23ACD38A}">
  <ds:schemaRefs>
    <ds:schemaRef ds:uri="http://www.w3.org/XML/1998/namespace"/>
    <ds:schemaRef ds:uri="http://schemas.microsoft.com/office/2006/metadata/properties"/>
    <ds:schemaRef ds:uri="http://purl.org/dc/elements/1.1/"/>
    <ds:schemaRef ds:uri="http://schemas.microsoft.com/office/infopath/2007/PartnerControls"/>
    <ds:schemaRef ds:uri="http://schemas.microsoft.com/office/2006/documentManagement/types"/>
    <ds:schemaRef ds:uri="http://purl.org/dc/dcmitype/"/>
    <ds:schemaRef ds:uri="http://purl.org/dc/terms/"/>
    <ds:schemaRef ds:uri="http://schemas.openxmlformats.org/package/2006/metadata/core-properties"/>
    <ds:schemaRef ds:uri="0eb3cfd4-8d07-4601-9f54-1a6edba174b6"/>
    <ds:schemaRef ds:uri="b55ae7bc-d3b4-40a2-9868-9292ea016db8"/>
    <ds:schemaRef ds:uri="http://schemas.microsoft.com/sharepoint/v3"/>
  </ds:schemaRefs>
</ds:datastoreItem>
</file>

<file path=customXml/itemProps2.xml><?xml version="1.0" encoding="utf-8"?>
<ds:datastoreItem xmlns:ds="http://schemas.openxmlformats.org/officeDocument/2006/customXml" ds:itemID="{0DCAFAAE-EE36-4C5C-B469-5CDC117B9057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39921AC-8176-4040-8D3E-9F64692F36E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b55ae7bc-d3b4-40a2-9868-9292ea016db8"/>
    <ds:schemaRef ds:uri="0eb3cfd4-8d07-4601-9f54-1a6edba174b6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General</vt:lpstr>
      <vt:lpstr>RCD</vt:lpstr>
      <vt:lpstr>Primary RC</vt:lpstr>
      <vt:lpstr>Secondary RC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Sylvain Rouland</dc:creator>
  <cp:lastModifiedBy>Sylvain Rouland</cp:lastModifiedBy>
  <cp:lastPrinted>2021-12-16T13:33:59Z</cp:lastPrinted>
  <dcterms:created xsi:type="dcterms:W3CDTF">2015-06-05T18:17:20Z</dcterms:created>
  <dcterms:modified xsi:type="dcterms:W3CDTF">2022-04-14T09:04:07Z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0x01010064C0B01DD94E074081958781EA1B9AAB</vt:lpwstr>
  </property>
</Properties>
</file>